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ma-srvr-01\Home\spachowka\Desktop\Monthly Reports\FY24\"/>
    </mc:Choice>
  </mc:AlternateContent>
  <bookViews>
    <workbookView xWindow="0" yWindow="0" windowWidth="20490" windowHeight="70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49" i="1"/>
  <c r="C48" i="1"/>
  <c r="C47" i="1"/>
  <c r="C46" i="1"/>
  <c r="C45" i="1"/>
  <c r="C44" i="1"/>
  <c r="C43" i="1"/>
  <c r="C42" i="1"/>
  <c r="C41" i="1"/>
  <c r="C40" i="1"/>
  <c r="C39" i="1"/>
  <c r="C38" i="1"/>
  <c r="C51" i="1" s="1"/>
  <c r="C36" i="1"/>
  <c r="C28" i="1"/>
  <c r="C27" i="1"/>
  <c r="C26" i="1"/>
  <c r="C25" i="1"/>
  <c r="C24" i="1"/>
  <c r="C23" i="1"/>
  <c r="C22" i="1"/>
  <c r="C17" i="1"/>
  <c r="C16" i="1"/>
  <c r="C15" i="1"/>
  <c r="C14" i="1"/>
  <c r="C13" i="1"/>
  <c r="C12" i="1"/>
  <c r="C11" i="1"/>
  <c r="C19" i="1" s="1"/>
  <c r="C30" i="1" s="1"/>
  <c r="C53" i="1" s="1"/>
  <c r="A3" i="1"/>
  <c r="F45" i="1" l="1"/>
  <c r="F42" i="1" l="1"/>
  <c r="H45" i="1"/>
  <c r="G45" i="1"/>
  <c r="F44" i="1"/>
  <c r="G44" i="1" l="1"/>
  <c r="H44" i="1"/>
  <c r="H42" i="1"/>
  <c r="G42" i="1"/>
  <c r="F41" i="1" l="1"/>
  <c r="H41" i="1" l="1"/>
  <c r="G41" i="1"/>
  <c r="F43" i="1" l="1"/>
  <c r="H43" i="1" l="1"/>
  <c r="G43" i="1"/>
  <c r="D11" i="1" l="1"/>
  <c r="F46" i="1"/>
  <c r="F39" i="1" l="1"/>
  <c r="H46" i="1"/>
  <c r="G46" i="1"/>
  <c r="F11" i="1"/>
  <c r="G11" i="1"/>
  <c r="H39" i="1" l="1"/>
  <c r="G39" i="1"/>
  <c r="F48" i="1" l="1"/>
  <c r="H48" i="1" l="1"/>
  <c r="G48" i="1"/>
  <c r="D15" i="1" l="1"/>
  <c r="G15" i="1" l="1"/>
  <c r="F15" i="1"/>
  <c r="F49" i="1" l="1"/>
  <c r="D25" i="1"/>
  <c r="D14" i="1" l="1"/>
  <c r="F40" i="1"/>
  <c r="D23" i="1"/>
  <c r="D12" i="1"/>
  <c r="D13" i="1"/>
  <c r="D26" i="1"/>
  <c r="D16" i="1"/>
  <c r="D24" i="1"/>
  <c r="D17" i="1"/>
  <c r="H49" i="1"/>
  <c r="G49" i="1"/>
  <c r="D22" i="1"/>
  <c r="F25" i="1"/>
  <c r="G25" i="1"/>
  <c r="F24" i="1" l="1"/>
  <c r="G24" i="1"/>
  <c r="F12" i="1"/>
  <c r="G12" i="1"/>
  <c r="D19" i="1"/>
  <c r="G22" i="1"/>
  <c r="F22" i="1"/>
  <c r="G16" i="1"/>
  <c r="F16" i="1"/>
  <c r="F23" i="1"/>
  <c r="G23" i="1"/>
  <c r="G26" i="1"/>
  <c r="F26" i="1"/>
  <c r="F58" i="1"/>
  <c r="G40" i="1"/>
  <c r="H40" i="1"/>
  <c r="D27" i="1"/>
  <c r="F17" i="1"/>
  <c r="G17" i="1"/>
  <c r="F13" i="1"/>
  <c r="G13" i="1"/>
  <c r="G14" i="1"/>
  <c r="F14" i="1"/>
  <c r="F19" i="1" l="1"/>
  <c r="G19" i="1"/>
  <c r="G27" i="1"/>
  <c r="F27" i="1"/>
  <c r="D28" i="1" l="1"/>
  <c r="G28" i="1" l="1"/>
  <c r="G30" i="1" s="1"/>
  <c r="F28" i="1"/>
  <c r="D30" i="1"/>
  <c r="F30" i="1" l="1"/>
  <c r="F38" i="1" l="1"/>
  <c r="F47" i="1" l="1"/>
  <c r="F51" i="1" s="1"/>
  <c r="H38" i="1"/>
  <c r="G38" i="1"/>
  <c r="F59" i="1" l="1"/>
  <c r="F60" i="1" s="1"/>
  <c r="H51" i="1"/>
  <c r="F54" i="1"/>
  <c r="F55" i="1" s="1"/>
  <c r="H47" i="1"/>
  <c r="G47" i="1"/>
  <c r="G51" i="1" s="1"/>
</calcChain>
</file>

<file path=xl/sharedStrings.xml><?xml version="1.0" encoding="utf-8"?>
<sst xmlns="http://schemas.openxmlformats.org/spreadsheetml/2006/main" count="48" uniqueCount="48">
  <si>
    <t>First State Montessori Academy</t>
  </si>
  <si>
    <t>Monthly Financial Statement</t>
  </si>
  <si>
    <t>General Operating Final Budget</t>
  </si>
  <si>
    <t>REVENUE</t>
  </si>
  <si>
    <t>State Funds</t>
  </si>
  <si>
    <t>Preliminary FY24 Budget</t>
  </si>
  <si>
    <t>Receipt to Date</t>
  </si>
  <si>
    <t>% Received</t>
  </si>
  <si>
    <t>Over/(Under) Budget</t>
  </si>
  <si>
    <t>Operations (05213)</t>
  </si>
  <si>
    <t>Education Sustainment Fund (05289)</t>
  </si>
  <si>
    <t>Tech Block Grant (05235)</t>
  </si>
  <si>
    <t>Student Success Grant</t>
  </si>
  <si>
    <t>School Safety &amp; Security</t>
  </si>
  <si>
    <t>Minor Capital Improvements (50022)</t>
  </si>
  <si>
    <t>Opportuntiy Grant, Mentoring Pilot &amp; Other</t>
  </si>
  <si>
    <t>Total State Funds</t>
  </si>
  <si>
    <t xml:space="preserve"> </t>
  </si>
  <si>
    <t>School District Local Funds Transfer &amp; Interest (98000)</t>
  </si>
  <si>
    <t>Cafeteria funds (91100)</t>
  </si>
  <si>
    <t>Foundation Funds/Donations (98159)</t>
  </si>
  <si>
    <t>CSCRP</t>
  </si>
  <si>
    <t>School Activities (98231)</t>
  </si>
  <si>
    <t>Federal Funds (Various)</t>
  </si>
  <si>
    <t>Prior Year Carryover</t>
  </si>
  <si>
    <t>All Funds Total</t>
  </si>
  <si>
    <t>EXPENDITURES</t>
  </si>
  <si>
    <t>Operating Budget Description</t>
  </si>
  <si>
    <t>Encumbrances</t>
  </si>
  <si>
    <t>Expenditures</t>
  </si>
  <si>
    <t>Balance</t>
  </si>
  <si>
    <t>Percentage 
Obligated</t>
  </si>
  <si>
    <t>Salaries and Benefits</t>
  </si>
  <si>
    <t>Utilities</t>
  </si>
  <si>
    <t>Facility-Lease &amp; Debt Service</t>
  </si>
  <si>
    <t>Transportation</t>
  </si>
  <si>
    <t>Contractor--Food Service</t>
  </si>
  <si>
    <t>Professional Services</t>
  </si>
  <si>
    <t>Education Services</t>
  </si>
  <si>
    <t>Textbooks and Instructional Supplies</t>
  </si>
  <si>
    <t>Building Maintenance and Custodial Services</t>
  </si>
  <si>
    <t>Other Expenses</t>
  </si>
  <si>
    <t>Operating Contingency</t>
  </si>
  <si>
    <t>Contingency</t>
  </si>
  <si>
    <t>Total Operating Budget</t>
  </si>
  <si>
    <t>Surplus</t>
  </si>
  <si>
    <t>Cash Balance</t>
  </si>
  <si>
    <t>Cash Balance After Encumbrances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</si>
</sst>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_);\(&quot;$&quot;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0" applyNumberFormat="1"/>
    <xf numFmtId="0" fontId="6" fillId="0" borderId="0" xfId="0" applyFont="1"/>
    <xf numFmtId="43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7" fontId="0" fillId="0" borderId="0" xfId="0" applyNumberFormat="1"/>
    <xf numFmtId="0" fontId="6" fillId="0" borderId="0" xfId="0" applyFont="1" applyAlignment="1">
      <alignment vertical="top"/>
    </xf>
    <xf numFmtId="164" fontId="0" fillId="0" borderId="0" xfId="0" applyNumberFormat="1"/>
    <xf numFmtId="7" fontId="0" fillId="0" borderId="0" xfId="0" applyNumberFormat="1" applyAlignment="1">
      <alignment horizontal="right"/>
    </xf>
    <xf numFmtId="7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3" fontId="7" fillId="0" borderId="0" xfId="0" applyNumberFormat="1" applyFont="1"/>
    <xf numFmtId="7" fontId="2" fillId="0" borderId="2" xfId="0" applyNumberFormat="1" applyFont="1" applyBorder="1"/>
    <xf numFmtId="43" fontId="6" fillId="0" borderId="2" xfId="0" applyNumberFormat="1" applyFont="1" applyBorder="1"/>
    <xf numFmtId="164" fontId="2" fillId="0" borderId="2" xfId="0" applyNumberFormat="1" applyFont="1" applyBorder="1"/>
    <xf numFmtId="7" fontId="2" fillId="0" borderId="2" xfId="0" applyNumberFormat="1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/>
    </xf>
    <xf numFmtId="43" fontId="0" fillId="0" borderId="3" xfId="0" applyNumberFormat="1" applyBorder="1"/>
    <xf numFmtId="43" fontId="0" fillId="0" borderId="3" xfId="0" applyNumberFormat="1" applyBorder="1" applyAlignment="1">
      <alignment horizontal="right"/>
    </xf>
    <xf numFmtId="7" fontId="6" fillId="0" borderId="1" xfId="0" applyNumberFormat="1" applyFont="1" applyBorder="1"/>
    <xf numFmtId="43" fontId="6" fillId="0" borderId="1" xfId="0" applyNumberFormat="1" applyFont="1" applyBorder="1"/>
    <xf numFmtId="164" fontId="2" fillId="0" borderId="1" xfId="0" applyNumberFormat="1" applyFont="1" applyBorder="1"/>
    <xf numFmtId="7" fontId="6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7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horizontal="right" vertical="center" wrapText="1"/>
    </xf>
    <xf numFmtId="40" fontId="0" fillId="0" borderId="0" xfId="0" applyNumberFormat="1"/>
    <xf numFmtId="7" fontId="7" fillId="0" borderId="0" xfId="1" applyNumberFormat="1" applyFont="1"/>
    <xf numFmtId="40" fontId="0" fillId="0" borderId="1" xfId="0" applyNumberFormat="1" applyBorder="1"/>
    <xf numFmtId="39" fontId="0" fillId="0" borderId="0" xfId="0" applyNumberFormat="1"/>
    <xf numFmtId="39" fontId="0" fillId="0" borderId="0" xfId="0" applyNumberFormat="1" applyAlignment="1">
      <alignment horizontal="center"/>
    </xf>
    <xf numFmtId="7" fontId="6" fillId="0" borderId="2" xfId="0" applyNumberFormat="1" applyFont="1" applyBorder="1"/>
    <xf numFmtId="10" fontId="2" fillId="0" borderId="2" xfId="0" applyNumberFormat="1" applyFont="1" applyBorder="1"/>
    <xf numFmtId="164" fontId="0" fillId="0" borderId="0" xfId="0" applyNumberFormat="1" applyAlignment="1">
      <alignment horizontal="center"/>
    </xf>
    <xf numFmtId="7" fontId="6" fillId="0" borderId="0" xfId="0" applyNumberFormat="1" applyFont="1"/>
    <xf numFmtId="7" fontId="2" fillId="0" borderId="0" xfId="0" applyNumberFormat="1" applyFont="1"/>
    <xf numFmtId="7" fontId="0" fillId="0" borderId="0" xfId="0" applyNumberFormat="1" applyAlignment="1">
      <alignment horizontal="center"/>
    </xf>
    <xf numFmtId="0" fontId="2" fillId="0" borderId="0" xfId="0" applyFont="1"/>
    <xf numFmtId="7" fontId="2" fillId="2" borderId="0" xfId="0" applyNumberFormat="1" applyFont="1" applyFill="1"/>
    <xf numFmtId="7" fontId="0" fillId="0" borderId="0" xfId="2" applyNumberFormat="1" applyFont="1"/>
    <xf numFmtId="165" fontId="0" fillId="0" borderId="0" xfId="0" applyNumberFormat="1"/>
    <xf numFmtId="7" fontId="0" fillId="3" borderId="0" xfId="0" applyNumberFormat="1" applyFill="1"/>
    <xf numFmtId="0" fontId="0" fillId="3" borderId="0" xfId="0" applyFill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SMA%20FY24%20December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"/>
      <sheetName val="Cash Operating Report - detail"/>
      <sheetName val="Operating Report"/>
      <sheetName val="DFMS Summary"/>
      <sheetName val="Sheet1"/>
      <sheetName val="Web Report"/>
      <sheetName val="Covenants"/>
      <sheetName val="Board Report - CAPEX"/>
      <sheetName val="Board Report-Operating Summary"/>
      <sheetName val="Charts"/>
      <sheetName val="Beginning Cash Reconciiation"/>
    </sheetNames>
    <sheetDataSet>
      <sheetData sheetId="0">
        <row r="11">
          <cell r="C11">
            <v>6128484</v>
          </cell>
          <cell r="E11">
            <v>6039374</v>
          </cell>
        </row>
        <row r="12">
          <cell r="C12">
            <v>103205</v>
          </cell>
          <cell r="E12">
            <v>103689</v>
          </cell>
        </row>
        <row r="13">
          <cell r="C13">
            <v>13812</v>
          </cell>
          <cell r="E13">
            <v>13877</v>
          </cell>
        </row>
        <row r="14">
          <cell r="C14">
            <v>72000</v>
          </cell>
          <cell r="E14">
            <v>20888</v>
          </cell>
        </row>
        <row r="15">
          <cell r="C15">
            <v>59486</v>
          </cell>
          <cell r="E15">
            <v>59486.400000000001</v>
          </cell>
        </row>
        <row r="16">
          <cell r="C16">
            <v>155897</v>
          </cell>
          <cell r="E16">
            <v>164831.85</v>
          </cell>
        </row>
        <row r="17">
          <cell r="C17">
            <v>36661</v>
          </cell>
          <cell r="E17">
            <v>36661</v>
          </cell>
        </row>
        <row r="18">
          <cell r="C18">
            <v>94777</v>
          </cell>
          <cell r="E18">
            <v>97877</v>
          </cell>
        </row>
        <row r="19">
          <cell r="C19">
            <v>3273041</v>
          </cell>
          <cell r="E19">
            <v>3440960.4899999993</v>
          </cell>
        </row>
        <row r="20">
          <cell r="C20">
            <v>120000</v>
          </cell>
          <cell r="E20">
            <v>42899.030000000006</v>
          </cell>
        </row>
        <row r="21">
          <cell r="E21">
            <v>0</v>
          </cell>
        </row>
        <row r="22">
          <cell r="C22">
            <v>50000</v>
          </cell>
          <cell r="E22">
            <v>5059</v>
          </cell>
        </row>
        <row r="23">
          <cell r="C23">
            <v>0</v>
          </cell>
          <cell r="E23">
            <v>0</v>
          </cell>
        </row>
        <row r="24">
          <cell r="C24">
            <v>90000</v>
          </cell>
          <cell r="E24">
            <v>54805.5</v>
          </cell>
        </row>
        <row r="25">
          <cell r="C25">
            <v>231550</v>
          </cell>
          <cell r="E25">
            <v>232837</v>
          </cell>
        </row>
        <row r="26">
          <cell r="C26">
            <v>0</v>
          </cell>
          <cell r="E26">
            <v>0</v>
          </cell>
        </row>
        <row r="27">
          <cell r="C27">
            <v>12503.52</v>
          </cell>
          <cell r="E27">
            <v>7097.97</v>
          </cell>
        </row>
        <row r="28">
          <cell r="C28">
            <v>0</v>
          </cell>
          <cell r="E28">
            <v>0</v>
          </cell>
        </row>
        <row r="29">
          <cell r="C29">
            <v>3071227</v>
          </cell>
          <cell r="E29">
            <v>3143607.4099999997</v>
          </cell>
        </row>
        <row r="46">
          <cell r="C46">
            <v>5018672</v>
          </cell>
          <cell r="E46">
            <v>2403047.7200000002</v>
          </cell>
        </row>
        <row r="55">
          <cell r="C55">
            <v>2340450.96</v>
          </cell>
          <cell r="E55">
            <v>1117394.0100000002</v>
          </cell>
        </row>
        <row r="59">
          <cell r="C59">
            <v>55000</v>
          </cell>
          <cell r="E59">
            <v>38464</v>
          </cell>
        </row>
        <row r="60">
          <cell r="C60">
            <v>22500</v>
          </cell>
          <cell r="E60">
            <v>5758</v>
          </cell>
        </row>
        <row r="61">
          <cell r="C61">
            <v>75000</v>
          </cell>
          <cell r="E61">
            <v>36506.050000000003</v>
          </cell>
        </row>
        <row r="62">
          <cell r="C62">
            <v>20000</v>
          </cell>
          <cell r="E62">
            <v>10346.5</v>
          </cell>
        </row>
        <row r="63">
          <cell r="C63">
            <v>10000</v>
          </cell>
          <cell r="E63">
            <v>0</v>
          </cell>
        </row>
        <row r="64">
          <cell r="C64">
            <v>30000</v>
          </cell>
          <cell r="E64">
            <v>1628.1000000000001</v>
          </cell>
        </row>
        <row r="68">
          <cell r="C68">
            <v>165000</v>
          </cell>
          <cell r="E68">
            <v>75459.16</v>
          </cell>
        </row>
        <row r="70">
          <cell r="C70">
            <v>150000</v>
          </cell>
          <cell r="E70">
            <v>83606.63</v>
          </cell>
        </row>
        <row r="71">
          <cell r="C71">
            <v>150000</v>
          </cell>
          <cell r="E71">
            <v>95848.82</v>
          </cell>
        </row>
        <row r="74">
          <cell r="C74">
            <v>641361</v>
          </cell>
          <cell r="E74">
            <v>255618.77</v>
          </cell>
        </row>
        <row r="79">
          <cell r="C79">
            <v>120000</v>
          </cell>
          <cell r="E79">
            <v>63298.05</v>
          </cell>
        </row>
        <row r="87">
          <cell r="C87">
            <v>20000</v>
          </cell>
          <cell r="E87">
            <v>25564.75</v>
          </cell>
        </row>
        <row r="88">
          <cell r="C88">
            <v>80000</v>
          </cell>
          <cell r="E88">
            <v>67432.09</v>
          </cell>
        </row>
        <row r="89">
          <cell r="C89">
            <v>0</v>
          </cell>
          <cell r="E89">
            <v>0</v>
          </cell>
        </row>
        <row r="94">
          <cell r="C94">
            <v>771504</v>
          </cell>
          <cell r="E94">
            <v>773103.4</v>
          </cell>
        </row>
        <row r="97">
          <cell r="C97">
            <v>25000</v>
          </cell>
          <cell r="E97">
            <v>0</v>
          </cell>
        </row>
        <row r="99">
          <cell r="C99">
            <v>195629.32</v>
          </cell>
          <cell r="F99">
            <v>0</v>
          </cell>
        </row>
        <row r="101">
          <cell r="C101">
            <v>10732904.280000001</v>
          </cell>
          <cell r="E101">
            <v>5354776.9400000013</v>
          </cell>
        </row>
      </sheetData>
      <sheetData sheetId="1"/>
      <sheetData sheetId="2">
        <row r="2">
          <cell r="P2">
            <v>45108</v>
          </cell>
          <cell r="Q2">
            <v>1</v>
          </cell>
          <cell r="R2" t="str">
            <v>1 Month Actual and 11 Months Projected</v>
          </cell>
          <cell r="S2" t="str">
            <v>As of July 31, 2023</v>
          </cell>
        </row>
        <row r="3">
          <cell r="P3">
            <v>45139</v>
          </cell>
          <cell r="Q3">
            <v>2</v>
          </cell>
          <cell r="R3" t="str">
            <v>2 Months Actual and 10 Months Projected</v>
          </cell>
          <cell r="S3" t="str">
            <v>As of August 31, 2023</v>
          </cell>
        </row>
        <row r="4">
          <cell r="P4">
            <v>45170</v>
          </cell>
          <cell r="Q4">
            <v>3</v>
          </cell>
          <cell r="R4" t="str">
            <v>3 Months Actual and 9 Months Projected</v>
          </cell>
          <cell r="S4" t="str">
            <v>As of September 30, 2023</v>
          </cell>
        </row>
        <row r="5">
          <cell r="J5">
            <v>45261</v>
          </cell>
          <cell r="P5">
            <v>45200</v>
          </cell>
          <cell r="Q5">
            <v>4</v>
          </cell>
          <cell r="R5" t="str">
            <v>4 Months Actual and 8 Months Projected</v>
          </cell>
          <cell r="S5" t="str">
            <v>As of October 31, 2023</v>
          </cell>
        </row>
        <row r="6">
          <cell r="P6">
            <v>45231</v>
          </cell>
          <cell r="Q6">
            <v>5</v>
          </cell>
          <cell r="R6" t="str">
            <v>5 Months Actual and 7 Months Projected</v>
          </cell>
          <cell r="S6" t="str">
            <v>As of November 30, 2023</v>
          </cell>
        </row>
        <row r="7">
          <cell r="P7">
            <v>45261</v>
          </cell>
          <cell r="Q7">
            <v>6</v>
          </cell>
          <cell r="R7" t="str">
            <v>6 Months Actual and 6 Months Projected</v>
          </cell>
          <cell r="S7" t="str">
            <v>As of December 31, 2023</v>
          </cell>
        </row>
        <row r="8">
          <cell r="P8">
            <v>45292</v>
          </cell>
          <cell r="Q8">
            <v>7</v>
          </cell>
          <cell r="R8" t="str">
            <v>7 Months Actual and 5 Months Projected</v>
          </cell>
          <cell r="S8" t="str">
            <v>As of January 31, 2024</v>
          </cell>
        </row>
        <row r="9">
          <cell r="P9">
            <v>45323</v>
          </cell>
          <cell r="Q9">
            <v>8</v>
          </cell>
          <cell r="R9" t="str">
            <v>8 Months Actual and 4 Months Projected</v>
          </cell>
          <cell r="S9" t="str">
            <v>As of February 28, 2024</v>
          </cell>
        </row>
        <row r="10">
          <cell r="P10">
            <v>45352</v>
          </cell>
          <cell r="Q10">
            <v>9</v>
          </cell>
          <cell r="R10" t="str">
            <v>9 Months Actual and 3 Months Projected</v>
          </cell>
          <cell r="S10" t="str">
            <v>As of March 31, 2024</v>
          </cell>
        </row>
        <row r="11">
          <cell r="P11">
            <v>45383</v>
          </cell>
          <cell r="Q11">
            <v>10</v>
          </cell>
          <cell r="R11" t="str">
            <v>10 Months Actual and 2 Months Projected</v>
          </cell>
          <cell r="S11" t="str">
            <v>As of April 30, 2024</v>
          </cell>
        </row>
        <row r="12">
          <cell r="P12">
            <v>45413</v>
          </cell>
          <cell r="Q12">
            <v>11</v>
          </cell>
          <cell r="R12" t="str">
            <v>11 Months Actual and 1 Months Projected</v>
          </cell>
          <cell r="S12" t="str">
            <v>As of May 31, 2024</v>
          </cell>
        </row>
        <row r="13">
          <cell r="P13">
            <v>45444</v>
          </cell>
          <cell r="Q13">
            <v>12</v>
          </cell>
          <cell r="R13" t="str">
            <v>12 Months Actual</v>
          </cell>
          <cell r="S13" t="str">
            <v>As of June 30, 2024</v>
          </cell>
        </row>
        <row r="15">
          <cell r="P15" t="str">
            <v>Budget Projections</v>
          </cell>
          <cell r="Q15">
            <v>0</v>
          </cell>
          <cell r="R15" t="str">
            <v>12 Months Projected</v>
          </cell>
          <cell r="S15" t="str">
            <v>Projected only</v>
          </cell>
        </row>
      </sheetData>
      <sheetData sheetId="3"/>
      <sheetData sheetId="4"/>
      <sheetData sheetId="5">
        <row r="38">
          <cell r="C38">
            <v>7359122.96</v>
          </cell>
          <cell r="F38">
            <v>3520441.7300000004</v>
          </cell>
        </row>
        <row r="39">
          <cell r="C39">
            <v>165000</v>
          </cell>
          <cell r="F39">
            <v>75459.16</v>
          </cell>
        </row>
        <row r="40">
          <cell r="C40">
            <v>771504</v>
          </cell>
          <cell r="F40">
            <v>773103.4</v>
          </cell>
        </row>
        <row r="41">
          <cell r="C41">
            <v>641361</v>
          </cell>
          <cell r="F41">
            <v>255618.77</v>
          </cell>
        </row>
        <row r="42">
          <cell r="C42">
            <v>120000</v>
          </cell>
          <cell r="F42">
            <v>63298.05</v>
          </cell>
        </row>
        <row r="43">
          <cell r="C43">
            <v>107500</v>
          </cell>
          <cell r="F43">
            <v>54568.5</v>
          </cell>
        </row>
        <row r="44">
          <cell r="C44">
            <v>105000</v>
          </cell>
          <cell r="F44">
            <v>38134.15</v>
          </cell>
        </row>
        <row r="45">
          <cell r="C45">
            <v>100000</v>
          </cell>
          <cell r="F45">
            <v>92996.84</v>
          </cell>
        </row>
        <row r="46">
          <cell r="C46">
            <v>300000</v>
          </cell>
          <cell r="F46">
            <v>179455.45</v>
          </cell>
        </row>
        <row r="48">
          <cell r="C48">
            <v>25000</v>
          </cell>
        </row>
        <row r="49">
          <cell r="C49">
            <v>195629.32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sqref="A1:XFD1048576"/>
    </sheetView>
  </sheetViews>
  <sheetFormatPr defaultColWidth="11.42578125" defaultRowHeight="15" x14ac:dyDescent="0.25"/>
  <cols>
    <col min="1" max="1" width="4.28515625" customWidth="1"/>
    <col min="2" max="2" width="53.28515625" customWidth="1"/>
    <col min="3" max="3" width="17.28515625" customWidth="1"/>
    <col min="4" max="4" width="16.85546875" customWidth="1"/>
    <col min="5" max="5" width="2.7109375" customWidth="1"/>
    <col min="6" max="6" width="15.28515625" customWidth="1"/>
    <col min="7" max="7" width="16.85546875" bestFit="1" customWidth="1"/>
    <col min="8" max="8" width="13.85546875" customWidth="1"/>
    <col min="9" max="9" width="13.140625" bestFit="1" customWidth="1"/>
    <col min="11" max="11" width="13.140625" bestFit="1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8.75" x14ac:dyDescent="0.3">
      <c r="A3" s="1" t="str">
        <f>VLOOKUP('[1]Operating Report'!$J$5,'[1]Operating Report'!$P$2:$S$17,4)</f>
        <v>As of December 31, 2023</v>
      </c>
      <c r="B3" s="1"/>
      <c r="C3" s="1"/>
      <c r="D3" s="1"/>
      <c r="E3" s="1"/>
      <c r="F3" s="1"/>
      <c r="G3" s="1"/>
      <c r="H3" s="1"/>
    </row>
    <row r="4" spans="1:8" s="2" customFormat="1" ht="18.75" x14ac:dyDescent="0.3">
      <c r="A4" s="1" t="s">
        <v>2</v>
      </c>
      <c r="B4" s="1"/>
      <c r="C4" s="1"/>
      <c r="D4" s="1"/>
      <c r="E4" s="1"/>
      <c r="F4" s="1"/>
      <c r="G4" s="1"/>
      <c r="H4" s="1"/>
    </row>
    <row r="6" spans="1:8" ht="15.75" x14ac:dyDescent="0.25">
      <c r="B6" s="3" t="s">
        <v>3</v>
      </c>
      <c r="C6" s="4"/>
      <c r="D6" s="5"/>
      <c r="F6" s="6"/>
      <c r="G6" s="7"/>
      <c r="H6" s="6"/>
    </row>
    <row r="7" spans="1:8" x14ac:dyDescent="0.25">
      <c r="C7" s="4"/>
      <c r="D7" s="5"/>
      <c r="G7" s="5"/>
    </row>
    <row r="8" spans="1:8" ht="30" x14ac:dyDescent="0.25">
      <c r="B8" s="8" t="s">
        <v>4</v>
      </c>
      <c r="C8" s="9" t="s">
        <v>5</v>
      </c>
      <c r="D8" s="10" t="s">
        <v>6</v>
      </c>
      <c r="E8" s="11"/>
      <c r="F8" s="11" t="s">
        <v>7</v>
      </c>
      <c r="G8" s="9" t="s">
        <v>8</v>
      </c>
    </row>
    <row r="9" spans="1:8" x14ac:dyDescent="0.25">
      <c r="C9" s="4"/>
      <c r="D9" s="5"/>
      <c r="G9" s="5"/>
    </row>
    <row r="10" spans="1:8" x14ac:dyDescent="0.25">
      <c r="C10" s="4"/>
      <c r="D10" s="5"/>
      <c r="G10" s="5"/>
    </row>
    <row r="11" spans="1:8" x14ac:dyDescent="0.25">
      <c r="B11" t="s">
        <v>9</v>
      </c>
      <c r="C11" s="12">
        <f>'[1]Cash Flow '!C11</f>
        <v>6128484</v>
      </c>
      <c r="D11" s="12">
        <f ca="1">'[1]Cash Flow '!E11</f>
        <v>6039374</v>
      </c>
      <c r="E11" s="13"/>
      <c r="F11" s="14">
        <f t="shared" ref="F11:F17" ca="1" si="0">IFERROR(D11/C11,)</f>
        <v>0.9854596993318413</v>
      </c>
      <c r="G11" s="15">
        <f ca="1">D11-C11</f>
        <v>-89110</v>
      </c>
    </row>
    <row r="12" spans="1:8" x14ac:dyDescent="0.25">
      <c r="B12" t="s">
        <v>10</v>
      </c>
      <c r="C12" s="12">
        <f>'[1]Cash Flow '!C12</f>
        <v>103205</v>
      </c>
      <c r="D12" s="12">
        <f ca="1">'[1]Cash Flow '!E12</f>
        <v>103689</v>
      </c>
      <c r="E12" s="13"/>
      <c r="F12" s="14">
        <f t="shared" ca="1" si="0"/>
        <v>1.0046896952667022</v>
      </c>
      <c r="G12" s="15">
        <f t="shared" ref="G12:G17" ca="1" si="1">D12-C12</f>
        <v>484</v>
      </c>
    </row>
    <row r="13" spans="1:8" x14ac:dyDescent="0.25">
      <c r="B13" t="s">
        <v>11</v>
      </c>
      <c r="C13" s="12">
        <f>'[1]Cash Flow '!C13</f>
        <v>13812</v>
      </c>
      <c r="D13" s="12">
        <f ca="1">'[1]Cash Flow '!E13</f>
        <v>13877</v>
      </c>
      <c r="E13" s="13"/>
      <c r="F13" s="14">
        <f t="shared" ca="1" si="0"/>
        <v>1.0047060527077902</v>
      </c>
      <c r="G13" s="15">
        <f t="shared" ca="1" si="1"/>
        <v>65</v>
      </c>
    </row>
    <row r="14" spans="1:8" x14ac:dyDescent="0.25">
      <c r="B14" t="s">
        <v>12</v>
      </c>
      <c r="C14" s="12">
        <f>'[1]Cash Flow '!C16</f>
        <v>155897</v>
      </c>
      <c r="D14" s="12">
        <f ca="1">'[1]Cash Flow '!E16</f>
        <v>164831.85</v>
      </c>
      <c r="E14" s="13"/>
      <c r="F14" s="14">
        <f t="shared" ca="1" si="0"/>
        <v>1.0573125204461922</v>
      </c>
      <c r="G14" s="15">
        <f t="shared" ca="1" si="1"/>
        <v>8934.8500000000058</v>
      </c>
    </row>
    <row r="15" spans="1:8" x14ac:dyDescent="0.25">
      <c r="B15" t="s">
        <v>13</v>
      </c>
      <c r="C15" s="12">
        <f>'[1]Cash Flow '!C17</f>
        <v>36661</v>
      </c>
      <c r="D15" s="12">
        <f ca="1">'[1]Cash Flow '!E17</f>
        <v>36661</v>
      </c>
      <c r="E15" s="13"/>
      <c r="F15" s="14">
        <f t="shared" ca="1" si="0"/>
        <v>1</v>
      </c>
      <c r="G15" s="15">
        <f ca="1">D15-C15</f>
        <v>0</v>
      </c>
    </row>
    <row r="16" spans="1:8" x14ac:dyDescent="0.25">
      <c r="B16" t="s">
        <v>14</v>
      </c>
      <c r="C16" s="12">
        <f>'[1]Cash Flow '!C18</f>
        <v>94777</v>
      </c>
      <c r="D16" s="12">
        <f ca="1">'[1]Cash Flow '!E18</f>
        <v>97877</v>
      </c>
      <c r="E16" s="13"/>
      <c r="F16" s="14">
        <f t="shared" ca="1" si="0"/>
        <v>1.0327083575128988</v>
      </c>
      <c r="G16" s="15">
        <f t="shared" ca="1" si="1"/>
        <v>3100</v>
      </c>
    </row>
    <row r="17" spans="1:7" ht="15.75" thickBot="1" x14ac:dyDescent="0.3">
      <c r="B17" t="s">
        <v>15</v>
      </c>
      <c r="C17" s="16">
        <f>'[1]Cash Flow '!C14+'[1]Cash Flow '!C15</f>
        <v>131486</v>
      </c>
      <c r="D17" s="16">
        <f ca="1">'[1]Cash Flow '!E14+'[1]Cash Flow '!E15</f>
        <v>80374.399999999994</v>
      </c>
      <c r="E17" s="17"/>
      <c r="F17" s="18">
        <f t="shared" ca="1" si="0"/>
        <v>0.61127724624674862</v>
      </c>
      <c r="G17" s="16">
        <f t="shared" ca="1" si="1"/>
        <v>-51111.600000000006</v>
      </c>
    </row>
    <row r="18" spans="1:7" ht="15.75" thickTop="1" x14ac:dyDescent="0.25">
      <c r="C18" s="5"/>
      <c r="D18" s="12"/>
      <c r="E18" s="19"/>
      <c r="F18" s="14"/>
      <c r="G18" s="4"/>
    </row>
    <row r="19" spans="1:7" ht="15.75" thickBot="1" x14ac:dyDescent="0.3">
      <c r="B19" s="8" t="s">
        <v>16</v>
      </c>
      <c r="C19" s="20">
        <f>SUM(C10:C17)</f>
        <v>6664322</v>
      </c>
      <c r="D19" s="20">
        <f ca="1">SUM(D10:D17)</f>
        <v>6536684.25</v>
      </c>
      <c r="E19" s="21"/>
      <c r="F19" s="22">
        <f ca="1">D19/C19</f>
        <v>0.98084760160148321</v>
      </c>
      <c r="G19" s="23">
        <f ca="1">SUM(G10:G18)</f>
        <v>-127637.75</v>
      </c>
    </row>
    <row r="20" spans="1:7" ht="15.75" thickTop="1" x14ac:dyDescent="0.25">
      <c r="C20" s="4"/>
      <c r="D20" s="12"/>
      <c r="E20" s="24"/>
      <c r="F20" s="25"/>
      <c r="G20" s="15"/>
    </row>
    <row r="21" spans="1:7" x14ac:dyDescent="0.25">
      <c r="C21" s="4"/>
      <c r="D21" s="5"/>
      <c r="E21" s="24"/>
      <c r="F21" s="25"/>
      <c r="G21" s="26"/>
    </row>
    <row r="22" spans="1:7" x14ac:dyDescent="0.25">
      <c r="A22" t="s">
        <v>17</v>
      </c>
      <c r="B22" s="24" t="s">
        <v>18</v>
      </c>
      <c r="C22" s="12">
        <f>'[1]Cash Flow '!C19</f>
        <v>3273041</v>
      </c>
      <c r="D22" s="12">
        <f ca="1">+'[1]Cash Flow '!E21+'[1]Cash Flow '!E19</f>
        <v>3440960.4899999993</v>
      </c>
      <c r="E22" s="13"/>
      <c r="F22" s="14">
        <f ca="1">IFERROR(D22/C22,)</f>
        <v>1.0513038150148437</v>
      </c>
      <c r="G22" s="15">
        <f t="shared" ref="G22:G28" ca="1" si="2">D22-C22</f>
        <v>167919.48999999929</v>
      </c>
    </row>
    <row r="23" spans="1:7" x14ac:dyDescent="0.25">
      <c r="B23" s="24" t="s">
        <v>19</v>
      </c>
      <c r="C23" s="12">
        <f>'[1]Cash Flow '!C20</f>
        <v>120000</v>
      </c>
      <c r="D23" s="12">
        <f ca="1">'[1]Cash Flow '!E20</f>
        <v>42899.030000000006</v>
      </c>
      <c r="E23" s="13"/>
      <c r="F23" s="14">
        <f t="shared" ref="F23:F28" ca="1" si="3">IFERROR(D23/C23,)</f>
        <v>0.35749191666666674</v>
      </c>
      <c r="G23" s="15">
        <f t="shared" ca="1" si="2"/>
        <v>-77100.97</v>
      </c>
    </row>
    <row r="24" spans="1:7" x14ac:dyDescent="0.25">
      <c r="B24" s="24" t="s">
        <v>20</v>
      </c>
      <c r="C24" s="12">
        <f>'[1]Cash Flow '!C22</f>
        <v>50000</v>
      </c>
      <c r="D24" s="12">
        <f ca="1">'[1]Cash Flow '!E22</f>
        <v>5059</v>
      </c>
      <c r="E24" s="13"/>
      <c r="F24" s="14">
        <f t="shared" ca="1" si="3"/>
        <v>0.10118000000000001</v>
      </c>
      <c r="G24" s="15">
        <f t="shared" ca="1" si="2"/>
        <v>-44941</v>
      </c>
    </row>
    <row r="25" spans="1:7" x14ac:dyDescent="0.25">
      <c r="B25" s="24" t="s">
        <v>21</v>
      </c>
      <c r="C25" s="12">
        <f>'[1]Cash Flow '!C23</f>
        <v>0</v>
      </c>
      <c r="D25" s="12">
        <f ca="1">'[1]Cash Flow '!E23</f>
        <v>0</v>
      </c>
      <c r="E25" s="13"/>
      <c r="F25" s="14">
        <f t="shared" ca="1" si="3"/>
        <v>0</v>
      </c>
      <c r="G25" s="15">
        <f t="shared" ca="1" si="2"/>
        <v>0</v>
      </c>
    </row>
    <row r="26" spans="1:7" x14ac:dyDescent="0.25">
      <c r="B26" s="24" t="s">
        <v>22</v>
      </c>
      <c r="C26" s="12">
        <f>'[1]Cash Flow '!C24</f>
        <v>90000</v>
      </c>
      <c r="D26" s="12">
        <f ca="1">'[1]Cash Flow '!E24-5805</f>
        <v>49000.5</v>
      </c>
      <c r="E26" s="13"/>
      <c r="F26" s="14">
        <f t="shared" ca="1" si="3"/>
        <v>0.54444999999999999</v>
      </c>
      <c r="G26" s="15">
        <f t="shared" ca="1" si="2"/>
        <v>-40999.5</v>
      </c>
    </row>
    <row r="27" spans="1:7" x14ac:dyDescent="0.25">
      <c r="B27" s="24" t="s">
        <v>23</v>
      </c>
      <c r="C27" s="12">
        <f>'[1]Cash Flow '!C25</f>
        <v>231550</v>
      </c>
      <c r="D27" s="12">
        <f ca="1">'[1]Cash Flow '!E25</f>
        <v>232837</v>
      </c>
      <c r="E27" s="13"/>
      <c r="F27" s="14">
        <f t="shared" ca="1" si="3"/>
        <v>1.0055581947743468</v>
      </c>
      <c r="G27" s="15">
        <f t="shared" ca="1" si="2"/>
        <v>1287</v>
      </c>
    </row>
    <row r="28" spans="1:7" ht="15.75" thickBot="1" x14ac:dyDescent="0.3">
      <c r="B28" s="24" t="s">
        <v>24</v>
      </c>
      <c r="C28" s="16">
        <f>'[1]Cash Flow '!C29+'[1]Cash Flow '!C26+'[1]Cash Flow '!C28+'[1]Cash Flow '!C27</f>
        <v>3083730.52</v>
      </c>
      <c r="D28" s="16">
        <f ca="1">+'[1]Cash Flow '!E26+'[1]Cash Flow '!E28+'[1]Cash Flow '!E29+'[1]Cash Flow '!E27</f>
        <v>3150705.38</v>
      </c>
      <c r="E28" s="27"/>
      <c r="F28" s="18">
        <f t="shared" ca="1" si="3"/>
        <v>1.0217187784618742</v>
      </c>
      <c r="G28" s="16">
        <f t="shared" ca="1" si="2"/>
        <v>66974.85999999987</v>
      </c>
    </row>
    <row r="29" spans="1:7" ht="15.75" thickTop="1" x14ac:dyDescent="0.25">
      <c r="C29" s="28"/>
      <c r="D29" s="28"/>
      <c r="E29" s="28"/>
      <c r="F29" s="28"/>
      <c r="G29" s="29"/>
    </row>
    <row r="30" spans="1:7" ht="15.75" thickBot="1" x14ac:dyDescent="0.3">
      <c r="B30" s="6" t="s">
        <v>25</v>
      </c>
      <c r="C30" s="30">
        <f>SUM(C19:C28)</f>
        <v>13512643.52</v>
      </c>
      <c r="D30" s="30">
        <f ca="1">SUM(D19:D28)</f>
        <v>13458145.649999999</v>
      </c>
      <c r="E30" s="31"/>
      <c r="F30" s="32">
        <f ca="1">D30/C30</f>
        <v>0.99596689797082716</v>
      </c>
      <c r="G30" s="33">
        <f ca="1">SUM(G19:G28)</f>
        <v>-54497.870000000839</v>
      </c>
    </row>
    <row r="31" spans="1:7" ht="15.75" thickTop="1" x14ac:dyDescent="0.25">
      <c r="B31" s="6"/>
      <c r="C31" s="34"/>
      <c r="D31" s="35"/>
      <c r="E31" s="7"/>
      <c r="F31" s="36"/>
      <c r="G31" s="34"/>
    </row>
    <row r="32" spans="1:7" x14ac:dyDescent="0.25">
      <c r="B32" s="6"/>
      <c r="C32" s="35"/>
      <c r="D32" s="12"/>
      <c r="G32" s="4"/>
    </row>
    <row r="33" spans="2:8" x14ac:dyDescent="0.25">
      <c r="C33" s="4"/>
      <c r="D33" s="5"/>
      <c r="F33" s="8"/>
      <c r="G33" s="34"/>
      <c r="H33" s="8"/>
    </row>
    <row r="34" spans="2:8" ht="15.75" x14ac:dyDescent="0.25">
      <c r="B34" s="3" t="s">
        <v>26</v>
      </c>
      <c r="C34" s="4"/>
      <c r="D34" s="5"/>
      <c r="G34" s="5"/>
    </row>
    <row r="35" spans="2:8" x14ac:dyDescent="0.25">
      <c r="C35" s="4"/>
      <c r="D35" s="5"/>
      <c r="G35" s="5"/>
    </row>
    <row r="36" spans="2:8" ht="30" x14ac:dyDescent="0.25">
      <c r="B36" s="11" t="s">
        <v>27</v>
      </c>
      <c r="C36" s="9" t="str">
        <f>C8</f>
        <v>Preliminary FY24 Budget</v>
      </c>
      <c r="D36" s="10" t="s">
        <v>28</v>
      </c>
      <c r="E36" s="11"/>
      <c r="F36" s="11" t="s">
        <v>29</v>
      </c>
      <c r="G36" s="10" t="s">
        <v>30</v>
      </c>
      <c r="H36" s="37" t="s">
        <v>31</v>
      </c>
    </row>
    <row r="37" spans="2:8" x14ac:dyDescent="0.25">
      <c r="B37" s="38"/>
      <c r="C37" s="39"/>
      <c r="D37" s="10"/>
      <c r="E37" s="11"/>
      <c r="F37" s="11"/>
      <c r="G37" s="10"/>
      <c r="H37" s="37"/>
    </row>
    <row r="38" spans="2:8" x14ac:dyDescent="0.25">
      <c r="B38" t="s">
        <v>32</v>
      </c>
      <c r="C38" s="12">
        <f>'[1]Cash Flow '!C46+'[1]Cash Flow '!C55</f>
        <v>7359122.96</v>
      </c>
      <c r="D38" s="12"/>
      <c r="E38" s="40"/>
      <c r="F38" s="12">
        <f ca="1">'[1]Cash Flow '!E46+'[1]Cash Flow '!E55</f>
        <v>3520441.7300000004</v>
      </c>
      <c r="G38" s="12">
        <f ca="1">C38-F38-D38</f>
        <v>3838681.2299999995</v>
      </c>
      <c r="H38" s="14">
        <f ca="1">IFERROR((D38+F38)/C38,0)</f>
        <v>0.47837789219382748</v>
      </c>
    </row>
    <row r="39" spans="2:8" x14ac:dyDescent="0.25">
      <c r="B39" t="s">
        <v>33</v>
      </c>
      <c r="C39" s="12">
        <f>'[1]Cash Flow '!C68</f>
        <v>165000</v>
      </c>
      <c r="D39" s="12"/>
      <c r="E39" s="40"/>
      <c r="F39" s="12">
        <f ca="1">'[1]Cash Flow '!E68</f>
        <v>75459.16</v>
      </c>
      <c r="G39" s="12">
        <f t="shared" ref="G39:G49" ca="1" si="4">C39-F39-D39</f>
        <v>89540.84</v>
      </c>
      <c r="H39" s="14">
        <f t="shared" ref="H39:H49" ca="1" si="5">IFERROR((D39+F39)/C39,0)</f>
        <v>0.45732824242424247</v>
      </c>
    </row>
    <row r="40" spans="2:8" x14ac:dyDescent="0.25">
      <c r="B40" t="s">
        <v>34</v>
      </c>
      <c r="C40" s="12">
        <f>+'[1]Cash Flow '!C94</f>
        <v>771504</v>
      </c>
      <c r="D40" s="12"/>
      <c r="E40" s="40"/>
      <c r="F40" s="12">
        <f ca="1">+'[1]Cash Flow '!E94</f>
        <v>773103.4</v>
      </c>
      <c r="G40" s="12">
        <f t="shared" ca="1" si="4"/>
        <v>-1599.4000000000233</v>
      </c>
      <c r="H40" s="14">
        <f t="shared" ca="1" si="5"/>
        <v>1.0020730935938116</v>
      </c>
    </row>
    <row r="41" spans="2:8" x14ac:dyDescent="0.25">
      <c r="B41" t="s">
        <v>35</v>
      </c>
      <c r="C41" s="12">
        <f>'[1]Cash Flow '!C74</f>
        <v>641361</v>
      </c>
      <c r="D41" s="12"/>
      <c r="E41" s="40"/>
      <c r="F41" s="12">
        <f ca="1">'[1]Cash Flow '!E74</f>
        <v>255618.77</v>
      </c>
      <c r="G41" s="12">
        <f t="shared" ca="1" si="4"/>
        <v>385742.23</v>
      </c>
      <c r="H41" s="14">
        <f t="shared" ca="1" si="5"/>
        <v>0.39855677223903541</v>
      </c>
    </row>
    <row r="42" spans="2:8" x14ac:dyDescent="0.25">
      <c r="B42" t="s">
        <v>36</v>
      </c>
      <c r="C42" s="12">
        <f>'[1]Cash Flow '!C79</f>
        <v>120000</v>
      </c>
      <c r="D42" s="12"/>
      <c r="E42" s="40"/>
      <c r="F42" s="12">
        <f ca="1">'[1]Cash Flow '!E79</f>
        <v>63298.05</v>
      </c>
      <c r="G42" s="12">
        <f t="shared" ca="1" si="4"/>
        <v>56701.95</v>
      </c>
      <c r="H42" s="14">
        <f t="shared" ca="1" si="5"/>
        <v>0.52748375000000003</v>
      </c>
    </row>
    <row r="43" spans="2:8" x14ac:dyDescent="0.25">
      <c r="B43" t="s">
        <v>37</v>
      </c>
      <c r="C43" s="12">
        <f>'[1]Cash Flow '!C59+'[1]Cash Flow '!C60+'[1]Cash Flow '!C62+'[1]Cash Flow '!C63</f>
        <v>107500</v>
      </c>
      <c r="D43" s="12"/>
      <c r="E43" s="40"/>
      <c r="F43" s="12">
        <f ca="1">'[1]Cash Flow '!E59+'[1]Cash Flow '!E60+'[1]Cash Flow '!E62+'[1]Cash Flow '!E63</f>
        <v>54568.5</v>
      </c>
      <c r="G43" s="12">
        <f t="shared" ca="1" si="4"/>
        <v>52931.5</v>
      </c>
      <c r="H43" s="14">
        <f t="shared" ca="1" si="5"/>
        <v>0.50761395348837213</v>
      </c>
    </row>
    <row r="44" spans="2:8" x14ac:dyDescent="0.25">
      <c r="B44" t="s">
        <v>38</v>
      </c>
      <c r="C44" s="12">
        <f>'[1]Cash Flow '!C61+'[1]Cash Flow '!C64</f>
        <v>105000</v>
      </c>
      <c r="D44" s="12"/>
      <c r="E44" s="40"/>
      <c r="F44" s="12">
        <f ca="1">'[1]Cash Flow '!E61+'[1]Cash Flow '!E64</f>
        <v>38134.15</v>
      </c>
      <c r="G44" s="12">
        <f t="shared" ca="1" si="4"/>
        <v>66865.850000000006</v>
      </c>
      <c r="H44" s="14">
        <f t="shared" ca="1" si="5"/>
        <v>0.36318238095238098</v>
      </c>
    </row>
    <row r="45" spans="2:8" x14ac:dyDescent="0.25">
      <c r="B45" t="s">
        <v>39</v>
      </c>
      <c r="C45" s="41">
        <f>'[1]Cash Flow '!C88+'[1]Cash Flow '!C89+'[1]Cash Flow '!C87</f>
        <v>100000</v>
      </c>
      <c r="D45" s="12"/>
      <c r="E45" s="40"/>
      <c r="F45" s="41">
        <f ca="1">'[1]Cash Flow '!E88+'[1]Cash Flow '!E89+'[1]Cash Flow '!E87</f>
        <v>92996.84</v>
      </c>
      <c r="G45" s="12">
        <f t="shared" ca="1" si="4"/>
        <v>7003.1600000000035</v>
      </c>
      <c r="H45" s="14">
        <f t="shared" ca="1" si="5"/>
        <v>0.92996839999999992</v>
      </c>
    </row>
    <row r="46" spans="2:8" x14ac:dyDescent="0.25">
      <c r="B46" s="24" t="s">
        <v>40</v>
      </c>
      <c r="C46" s="12">
        <f>'[1]Cash Flow '!C70+'[1]Cash Flow '!C71</f>
        <v>300000</v>
      </c>
      <c r="D46" s="12"/>
      <c r="E46" s="40"/>
      <c r="F46" s="12">
        <f ca="1">'[1]Cash Flow '!E70+'[1]Cash Flow '!E71</f>
        <v>179455.45</v>
      </c>
      <c r="G46" s="12">
        <f t="shared" ca="1" si="4"/>
        <v>120544.54999999999</v>
      </c>
      <c r="H46" s="14">
        <f t="shared" ca="1" si="5"/>
        <v>0.59818483333333339</v>
      </c>
    </row>
    <row r="47" spans="2:8" x14ac:dyDescent="0.25">
      <c r="B47" t="s">
        <v>41</v>
      </c>
      <c r="C47" s="12">
        <f>'[1]Cash Flow '!C101-SUM('[1]Web Report'!C38:C46)-'[1]Web Report'!C48-'[1]Web Report'!C49</f>
        <v>842787.00000000023</v>
      </c>
      <c r="D47" s="12"/>
      <c r="F47" s="12">
        <f ca="1">'[1]Cash Flow '!E101-SUM('[1]Web Report'!F38:F46)-F48</f>
        <v>301700.8900000006</v>
      </c>
      <c r="G47" s="12">
        <f t="shared" ca="1" si="4"/>
        <v>541086.10999999964</v>
      </c>
      <c r="H47" s="14">
        <f t="shared" ca="1" si="5"/>
        <v>0.35797999969150035</v>
      </c>
    </row>
    <row r="48" spans="2:8" x14ac:dyDescent="0.25">
      <c r="B48" t="s">
        <v>42</v>
      </c>
      <c r="C48" s="12">
        <f>'[1]Cash Flow '!C97</f>
        <v>25000</v>
      </c>
      <c r="D48" s="12"/>
      <c r="F48" s="12">
        <f ca="1">'[1]Cash Flow '!E97</f>
        <v>0</v>
      </c>
      <c r="G48" s="12">
        <f t="shared" ca="1" si="4"/>
        <v>25000</v>
      </c>
      <c r="H48" s="14">
        <f t="shared" ca="1" si="5"/>
        <v>0</v>
      </c>
    </row>
    <row r="49" spans="2:14" ht="15.75" thickBot="1" x14ac:dyDescent="0.3">
      <c r="B49" t="s">
        <v>43</v>
      </c>
      <c r="C49" s="16">
        <f>'[1]Cash Flow '!C99</f>
        <v>195629.32</v>
      </c>
      <c r="D49" s="16"/>
      <c r="E49" s="42"/>
      <c r="F49" s="16">
        <f ca="1">'[1]Cash Flow '!F99</f>
        <v>0</v>
      </c>
      <c r="G49" s="16">
        <f t="shared" ca="1" si="4"/>
        <v>195629.32</v>
      </c>
      <c r="H49" s="18">
        <f t="shared" ca="1" si="5"/>
        <v>0</v>
      </c>
    </row>
    <row r="50" spans="2:14" ht="15.75" thickTop="1" x14ac:dyDescent="0.25">
      <c r="C50" s="4"/>
      <c r="D50" s="5"/>
      <c r="E50" s="43"/>
      <c r="F50" s="43"/>
      <c r="G50" s="43"/>
      <c r="H50" s="44"/>
    </row>
    <row r="51" spans="2:14" ht="15.75" thickBot="1" x14ac:dyDescent="0.3">
      <c r="B51" s="6" t="s">
        <v>44</v>
      </c>
      <c r="C51" s="45">
        <f>SUM(C38:C50)</f>
        <v>10732904.280000001</v>
      </c>
      <c r="D51" s="45">
        <f>SUM(D38:D50)</f>
        <v>0</v>
      </c>
      <c r="E51" s="45"/>
      <c r="F51" s="45">
        <f ca="1">SUM(F38:F50)</f>
        <v>5354776.9400000013</v>
      </c>
      <c r="G51" s="45">
        <f ca="1">SUM(G38:G50)</f>
        <v>5378127.3399999989</v>
      </c>
      <c r="H51" s="46">
        <f ca="1">+(D51+F51)/C51</f>
        <v>0.49891220496378086</v>
      </c>
    </row>
    <row r="52" spans="2:14" ht="15.75" thickTop="1" x14ac:dyDescent="0.25">
      <c r="B52" s="6"/>
      <c r="C52" s="35"/>
      <c r="D52" s="35"/>
      <c r="E52" s="35"/>
      <c r="F52" s="35"/>
      <c r="G52" s="35"/>
      <c r="H52" s="47"/>
      <c r="I52" s="12"/>
    </row>
    <row r="53" spans="2:14" x14ac:dyDescent="0.25">
      <c r="B53" s="6" t="s">
        <v>45</v>
      </c>
      <c r="C53" s="48">
        <f>C30-C51</f>
        <v>2779739.2399999984</v>
      </c>
      <c r="D53" s="5"/>
      <c r="G53" s="5"/>
      <c r="H53" s="25"/>
    </row>
    <row r="54" spans="2:14" x14ac:dyDescent="0.25">
      <c r="B54" s="6" t="s">
        <v>46</v>
      </c>
      <c r="C54" s="48"/>
      <c r="D54" s="5"/>
      <c r="F54" s="49">
        <f ca="1">D30-F51</f>
        <v>8103368.7099999972</v>
      </c>
      <c r="G54" s="12"/>
      <c r="H54" s="50"/>
    </row>
    <row r="55" spans="2:14" x14ac:dyDescent="0.25">
      <c r="B55" s="51" t="s">
        <v>47</v>
      </c>
      <c r="C55" s="49"/>
      <c r="D55" s="5"/>
      <c r="F55" s="52">
        <f ca="1">+F54-D51</f>
        <v>8103368.7099999972</v>
      </c>
      <c r="G55" s="12"/>
      <c r="H55" s="25"/>
      <c r="K55" s="12"/>
    </row>
    <row r="56" spans="2:14" x14ac:dyDescent="0.25">
      <c r="C56" s="4"/>
      <c r="D56" s="5"/>
      <c r="F56" s="12"/>
      <c r="G56" s="53"/>
      <c r="H56" s="25"/>
      <c r="K56" s="54"/>
    </row>
    <row r="57" spans="2:14" x14ac:dyDescent="0.25">
      <c r="B57" s="6"/>
      <c r="F57" s="49"/>
      <c r="G57" s="12"/>
    </row>
    <row r="58" spans="2:14" x14ac:dyDescent="0.25">
      <c r="F58" s="55">
        <f ca="1">F40/12*5</f>
        <v>322126.41666666669</v>
      </c>
      <c r="G58" s="56"/>
      <c r="H58" s="56"/>
      <c r="I58" s="55"/>
      <c r="J58" s="56"/>
      <c r="K58" s="56"/>
      <c r="L58" s="56"/>
      <c r="M58" s="56"/>
      <c r="N58" s="56"/>
    </row>
    <row r="59" spans="2:14" x14ac:dyDescent="0.25">
      <c r="B59" s="6"/>
      <c r="D59" s="12"/>
      <c r="F59" s="49">
        <f ca="1">F51-F40+F58+D51</f>
        <v>4903799.9566666679</v>
      </c>
      <c r="I59" s="12"/>
    </row>
    <row r="60" spans="2:14" x14ac:dyDescent="0.25">
      <c r="D60" s="12"/>
      <c r="F60" s="57">
        <f ca="1">F59/C51</f>
        <v>0.45689403620272179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State Montessori Academy (FSMA)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Pachowka</dc:creator>
  <cp:lastModifiedBy>Stephany Pachowka</cp:lastModifiedBy>
  <dcterms:created xsi:type="dcterms:W3CDTF">2024-01-26T23:07:06Z</dcterms:created>
  <dcterms:modified xsi:type="dcterms:W3CDTF">2024-01-26T23:07:36Z</dcterms:modified>
</cp:coreProperties>
</file>